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90" windowWidth="18240" windowHeight="7035"/>
  </bookViews>
  <sheets>
    <sheet name="חישוב תעריף" sheetId="18" r:id="rId1"/>
    <sheet name="רשימות" sheetId="19" r:id="rId2"/>
  </sheets>
  <definedNames>
    <definedName name="B">#REF!</definedName>
    <definedName name="הסעת_המונים">#REF!</definedName>
    <definedName name="מדד_מחירים">#REF!</definedName>
    <definedName name="מורכבות_מוניציפלית">#REF!</definedName>
    <definedName name="מקדם_היקף">#REF!</definedName>
    <definedName name="מקדם_שיפוע">#REF!</definedName>
    <definedName name="צירוף_שירותים">#REF!</definedName>
    <definedName name="קנה_מידה">#REF!</definedName>
    <definedName name="שטח">#REF!</definedName>
    <definedName name="שטח_מתוכנן">#REF!</definedName>
    <definedName name="שכר_לדונם">#REF!</definedName>
    <definedName name="שכר_תושב">#REF!</definedName>
    <definedName name="תושבים_עתידי">#REF!</definedName>
  </definedNames>
  <calcPr calcId="145621"/>
</workbook>
</file>

<file path=xl/calcChain.xml><?xml version="1.0" encoding="utf-8"?>
<calcChain xmlns="http://schemas.openxmlformats.org/spreadsheetml/2006/main">
  <c r="C7" i="18" l="1"/>
  <c r="D7" i="18" l="1"/>
  <c r="C8" i="18"/>
  <c r="D8" i="18" s="1"/>
  <c r="D6" i="18" l="1"/>
  <c r="K19" i="18" l="1"/>
  <c r="M19" i="18" l="1"/>
  <c r="N19" i="18" s="1"/>
  <c r="D36" i="18"/>
  <c r="D28" i="18"/>
  <c r="D29" i="18"/>
  <c r="D30" i="18"/>
  <c r="D31" i="18"/>
  <c r="D26" i="18"/>
  <c r="D25" i="18"/>
  <c r="D14" i="18"/>
  <c r="D15" i="18" s="1"/>
  <c r="D12" i="18"/>
  <c r="D11" i="18"/>
  <c r="M21" i="18"/>
  <c r="N21" i="18" s="1"/>
  <c r="D3" i="18"/>
  <c r="D20" i="18"/>
  <c r="D23" i="18"/>
  <c r="K5" i="18" l="1"/>
  <c r="K4" i="18"/>
  <c r="K17" i="18"/>
  <c r="D9" i="18"/>
  <c r="D10" i="18"/>
  <c r="D13" i="18"/>
  <c r="K15" i="18" s="1"/>
  <c r="D39" i="18"/>
  <c r="D38" i="18"/>
  <c r="D37" i="18"/>
  <c r="D33" i="18"/>
  <c r="D32" i="18"/>
  <c r="K13" i="18"/>
  <c r="D27" i="18"/>
  <c r="D24" i="18"/>
  <c r="D19" i="18"/>
  <c r="D22" i="18" l="1"/>
  <c r="D40" i="18"/>
  <c r="K18" i="18" s="1"/>
  <c r="D35" i="18"/>
  <c r="L17" i="18" s="1"/>
  <c r="M17" i="18" s="1"/>
  <c r="L13" i="18"/>
  <c r="L15" i="18"/>
  <c r="M15" i="18" s="1"/>
  <c r="K10" i="18"/>
  <c r="K14" i="18"/>
  <c r="K11" i="18"/>
  <c r="K12" i="18"/>
  <c r="K16" i="18"/>
  <c r="M13" i="18" l="1"/>
  <c r="N13" i="18" s="1"/>
  <c r="L18" i="18"/>
  <c r="M18" i="18"/>
  <c r="N15" i="18"/>
  <c r="K3" i="18"/>
  <c r="L3" i="18" s="1"/>
  <c r="M3" i="18" s="1"/>
  <c r="N3" i="18" s="1"/>
  <c r="N17" i="18"/>
  <c r="L5" i="18"/>
  <c r="M5" i="18" s="1"/>
  <c r="N5" i="18" s="1"/>
  <c r="L4" i="18"/>
  <c r="M4" i="18" s="1"/>
  <c r="N4" i="18" s="1"/>
  <c r="L12" i="18"/>
  <c r="M12" i="18" s="1"/>
  <c r="L11" i="18"/>
  <c r="L14" i="18"/>
  <c r="L16" i="18"/>
  <c r="M16" i="18" s="1"/>
  <c r="L10" i="18"/>
  <c r="M10" i="18" s="1"/>
  <c r="K22" i="18" l="1"/>
  <c r="N18" i="18"/>
  <c r="N16" i="18"/>
  <c r="N12" i="18"/>
  <c r="M11" i="18"/>
  <c r="N11" i="18" s="1"/>
  <c r="M14" i="18"/>
  <c r="N14" i="18" s="1"/>
  <c r="L22" i="18"/>
  <c r="N10" i="18" l="1"/>
  <c r="N22" i="18" s="1"/>
  <c r="N25" i="18" s="1"/>
  <c r="M22" i="18"/>
  <c r="N28" i="18" l="1"/>
</calcChain>
</file>

<file path=xl/sharedStrings.xml><?xml version="1.0" encoding="utf-8"?>
<sst xmlns="http://schemas.openxmlformats.org/spreadsheetml/2006/main" count="107" uniqueCount="90">
  <si>
    <t>מס' תושבים קיים</t>
  </si>
  <si>
    <t>שיפוע</t>
  </si>
  <si>
    <t>מס' יח"ד קיימות</t>
  </si>
  <si>
    <t>שטחי מסחר קיימים (מ"ר)</t>
  </si>
  <si>
    <t>אורך רחוב מרכזי</t>
  </si>
  <si>
    <t>שטח התכנית בדונם</t>
  </si>
  <si>
    <t>מס' תושבים עתידי בתכנית</t>
  </si>
  <si>
    <t>מקדם היקף</t>
  </si>
  <si>
    <t>אחוז משטח התכנית המקודם ב-1:500</t>
  </si>
  <si>
    <t>אדריכל</t>
  </si>
  <si>
    <t>אדריכל נוף</t>
  </si>
  <si>
    <t>יועץ פרוגרמה</t>
  </si>
  <si>
    <t>חשמל ותקשורת</t>
  </si>
  <si>
    <t>הידרולוגיה ונגר עילי</t>
  </si>
  <si>
    <t>שטח התכנית המקודם ב-1:500 (בדונם)</t>
  </si>
  <si>
    <t>תנועה ותחבורה</t>
  </si>
  <si>
    <t>כלכלה</t>
  </si>
  <si>
    <t>איכות סביבה</t>
  </si>
  <si>
    <t>דרכים</t>
  </si>
  <si>
    <t>מים וביוב</t>
  </si>
  <si>
    <t>שמאות</t>
  </si>
  <si>
    <t>זיהום קרקע</t>
  </si>
  <si>
    <t>אקןסטיקה</t>
  </si>
  <si>
    <t>אזורי תעסוקה</t>
  </si>
  <si>
    <t>מדד המחירים לצרכן (נכון ליום 20/07/17)</t>
  </si>
  <si>
    <t>יש יועץ שימור?</t>
  </si>
  <si>
    <t>כן</t>
  </si>
  <si>
    <t>לא</t>
  </si>
  <si>
    <t>מספר יועצים בתכנית כולל אדריכל</t>
  </si>
  <si>
    <t>האם תכנית מתאר של מטרופולין</t>
  </si>
  <si>
    <t>קיימת התייחסות לענף תיירות?</t>
  </si>
  <si>
    <t>מועסק יועץ תיירות בתכנית?</t>
  </si>
  <si>
    <t>אחר</t>
  </si>
  <si>
    <t>שכר ללא מעמ</t>
  </si>
  <si>
    <t xml:space="preserve">להזנה </t>
  </si>
  <si>
    <t>נתונים</t>
  </si>
  <si>
    <t>מעמ</t>
  </si>
  <si>
    <t>שכט מינמלי</t>
  </si>
  <si>
    <t>סהכ שטחים קיימים</t>
  </si>
  <si>
    <t xml:space="preserve">סוג תכנית </t>
  </si>
  <si>
    <t>סוגי תכנית</t>
  </si>
  <si>
    <t>מדיניות</t>
  </si>
  <si>
    <t>מתאר</t>
  </si>
  <si>
    <t>שכר כולל</t>
  </si>
  <si>
    <t>שכט לתושב</t>
  </si>
  <si>
    <t>שכר  לדונם</t>
  </si>
  <si>
    <t>מקדם מחושב</t>
  </si>
  <si>
    <t>מקדם תפקיד</t>
  </si>
  <si>
    <t>אין</t>
  </si>
  <si>
    <t>שכט מחושב לסוג</t>
  </si>
  <si>
    <t>סקר</t>
  </si>
  <si>
    <t>סה"כ צוות תכנון</t>
  </si>
  <si>
    <t>ניהול לפני הנחה</t>
  </si>
  <si>
    <t>תעריפי תכנון מתאר/מדיניות/סקר למכרז חברות תכנון</t>
  </si>
  <si>
    <t>בכמה מהבאים גובל המתחם: חוף ים, שמורת טבע, גן לאומי, יער</t>
  </si>
  <si>
    <t xml:space="preserve">מקדם מורכבות כלכלית. </t>
  </si>
  <si>
    <t>מקדם אוכלוסיה במצב קיים כלכלה</t>
  </si>
  <si>
    <t>מקדם כמות תושבים לשת"צ</t>
  </si>
  <si>
    <t>מקדם מורכבות סביבתית</t>
  </si>
  <si>
    <t>מקדם צפיפות שיפוע בהתאם לטבלה</t>
  </si>
  <si>
    <t>מקדם צפיפות קיימת לאדריכל</t>
  </si>
  <si>
    <t>לאדריכל מקדם תוספת עבור פגישות ייקבע לפי מס התוכניות הנקודתיות מקודמות - 2 פגישות לתכנית</t>
  </si>
  <si>
    <t>מקדם היקף התכנית לאדריכל</t>
  </si>
  <si>
    <t>מס תוכניות נקודתיות קיימות וצפויות בתחום התכנית</t>
  </si>
  <si>
    <t>אוכלוסיה מגוונת (רב תרבותית)?</t>
  </si>
  <si>
    <t>תפקיד</t>
  </si>
  <si>
    <t>מספר מערכות מתע"ן בשטח התכנית: רכבת, רכבת קלה, נת"צים</t>
  </si>
  <si>
    <t>מספר רשויות נוספות לתיאום (מורכבות מוניציפאלית)</t>
  </si>
  <si>
    <t>יועץ חברתי (כולל שת"צ)</t>
  </si>
  <si>
    <t>כן/לא</t>
  </si>
  <si>
    <t>אזור בארץ (למודד)</t>
  </si>
  <si>
    <t>כללי</t>
  </si>
  <si>
    <t>איוש</t>
  </si>
  <si>
    <t>אילת</t>
  </si>
  <si>
    <t>שטח למדידה כולל 30 מטר מסביב לקו הכחול</t>
  </si>
  <si>
    <t>מספר תוכניות לקומפילצית מודד</t>
  </si>
  <si>
    <t>שכט לש. קיימים</t>
  </si>
  <si>
    <t>קנה מידה</t>
  </si>
  <si>
    <t>1:500</t>
  </si>
  <si>
    <t>1:1250</t>
  </si>
  <si>
    <t>שכ"ט כולל לפני הנחה</t>
  </si>
  <si>
    <t>מודד*</t>
  </si>
  <si>
    <t>* תעריף מודד כולל: מיפוי+עדכון+קומפילציה+בעלויות * להוסיף קדסטר</t>
  </si>
  <si>
    <t>אזור למודד</t>
  </si>
  <si>
    <t>קנ"מ</t>
  </si>
  <si>
    <t>גבול תחתון שטח לפי קנ"מ</t>
  </si>
  <si>
    <t>גבול עליון שטח לפי קנ"מ</t>
  </si>
  <si>
    <t>קטגורית שטח 1:500</t>
  </si>
  <si>
    <t>קטגוריות שטח 1:1250</t>
  </si>
  <si>
    <t>מפורטת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</si>
</sst>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 &quot;₪&quot;\ * #,##0.00_ ;_ &quot;₪&quot;\ * \-#,##0.00_ ;_ &quot;₪&quot;\ * &quot;-&quot;??_ ;_ @_ "/>
    <numFmt numFmtId="43" formatCode="_ * #,##0.00_ ;_ * \-#,##0.00_ ;_ * &quot;-&quot;??_ ;_ @_ "/>
    <numFmt numFmtId="164" formatCode="0.000"/>
    <numFmt numFmtId="165" formatCode="_ * #,##0_ ;_ * \-#,##0_ ;_ * &quot;-&quot;??_ ;_ @_ "/>
    <numFmt numFmtId="166" formatCode="_ &quot;₪&quot;\ * #,##0_ ;_ &quot;₪&quot;\ * \-#,##0_ ;_ &quot;₪&quot;\ * &quot;-&quot;??_ ;_ @_ "/>
    <numFmt numFmtId="167" formatCode="_ * #,##0_ ;_ * \-#,##0_ ;_ * &quot;-&quot;?_ ;_ @_ "/>
    <numFmt numFmtId="168" formatCode="_ * #,##0.0000_ ;_ * \-#,##0.0000_ ;_ * &quot;-&quot;??_ ;_ @_ "/>
  </numFmts>
  <fonts count="13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1"/>
      <color theme="1"/>
      <name val="David"/>
      <family val="2"/>
      <charset val="177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charset val="177"/>
      <scheme val="minor"/>
    </font>
    <font>
      <sz val="10"/>
      <color theme="1"/>
      <name val="David"/>
      <family val="2"/>
      <charset val="177"/>
    </font>
    <font>
      <sz val="10"/>
      <color theme="1"/>
      <name val="Arial"/>
      <family val="2"/>
      <scheme val="minor"/>
    </font>
    <font>
      <sz val="10"/>
      <name val="Arial"/>
      <family val="2"/>
      <charset val="177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  <scheme val="minor"/>
    </font>
    <font>
      <sz val="11"/>
      <color rgb="FF000000"/>
      <name val="Arial"/>
      <family val="2"/>
    </font>
    <font>
      <b/>
      <sz val="12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3499862666707357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4">
    <xf numFmtId="0" fontId="0" fillId="0" borderId="0" xfId="0"/>
    <xf numFmtId="0" fontId="2" fillId="0" borderId="0" xfId="0" applyFont="1" applyFill="1" applyBorder="1" applyAlignment="1" applyProtection="1">
      <alignment horizontal="center" vertical="center" wrapText="1"/>
    </xf>
    <xf numFmtId="0" fontId="0" fillId="0" borderId="1" xfId="0" applyBorder="1"/>
    <xf numFmtId="0" fontId="4" fillId="0" borderId="0" xfId="0" applyFont="1"/>
    <xf numFmtId="0" fontId="3" fillId="0" borderId="0" xfId="0" applyFont="1" applyBorder="1" applyAlignment="1">
      <alignment wrapText="1"/>
    </xf>
    <xf numFmtId="0" fontId="3" fillId="0" borderId="0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4" fillId="0" borderId="1" xfId="0" applyFont="1" applyBorder="1"/>
    <xf numFmtId="0" fontId="4" fillId="2" borderId="1" xfId="0" applyFont="1" applyFill="1" applyBorder="1"/>
    <xf numFmtId="0" fontId="4" fillId="0" borderId="1" xfId="0" applyFont="1" applyBorder="1" applyAlignment="1">
      <alignment vertical="center" wrapText="1"/>
    </xf>
    <xf numFmtId="165" fontId="4" fillId="0" borderId="1" xfId="3" applyNumberFormat="1" applyFont="1" applyBorder="1" applyAlignment="1">
      <alignment vertical="center" wrapText="1"/>
    </xf>
    <xf numFmtId="165" fontId="4" fillId="0" borderId="1" xfId="3" applyNumberFormat="1" applyFont="1" applyBorder="1"/>
    <xf numFmtId="165" fontId="4" fillId="0" borderId="1" xfId="0" applyNumberFormat="1" applyFont="1" applyBorder="1"/>
    <xf numFmtId="0" fontId="4" fillId="0" borderId="0" xfId="0" applyFont="1" applyBorder="1"/>
    <xf numFmtId="168" fontId="5" fillId="0" borderId="1" xfId="3" applyNumberFormat="1" applyFont="1" applyBorder="1" applyAlignment="1" applyProtection="1">
      <alignment horizontal="center" vertical="center" wrapText="1"/>
    </xf>
    <xf numFmtId="43" fontId="6" fillId="0" borderId="1" xfId="3" applyFont="1" applyBorder="1"/>
    <xf numFmtId="165" fontId="4" fillId="0" borderId="0" xfId="3" applyNumberFormat="1" applyFont="1" applyBorder="1" applyAlignment="1">
      <alignment vertical="center" wrapText="1"/>
    </xf>
    <xf numFmtId="165" fontId="4" fillId="2" borderId="1" xfId="3" applyNumberFormat="1" applyFont="1" applyFill="1" applyBorder="1" applyAlignment="1" applyProtection="1">
      <alignment horizontal="right" vertical="center" wrapText="1"/>
      <protection locked="0"/>
    </xf>
    <xf numFmtId="0" fontId="3" fillId="0" borderId="0" xfId="0" applyFont="1" applyFill="1" applyBorder="1" applyAlignment="1">
      <alignment horizontal="center" vertical="center" wrapText="1"/>
    </xf>
    <xf numFmtId="168" fontId="4" fillId="0" borderId="1" xfId="3" applyNumberFormat="1" applyFont="1" applyBorder="1"/>
    <xf numFmtId="166" fontId="4" fillId="0" borderId="0" xfId="1" applyNumberFormat="1" applyFont="1" applyFill="1" applyBorder="1" applyAlignment="1">
      <alignment vertical="center" wrapText="1"/>
    </xf>
    <xf numFmtId="168" fontId="5" fillId="0" borderId="1" xfId="3" applyNumberFormat="1" applyFont="1" applyBorder="1" applyAlignment="1">
      <alignment vertical="center" wrapText="1"/>
    </xf>
    <xf numFmtId="164" fontId="5" fillId="0" borderId="1" xfId="0" applyNumberFormat="1" applyFont="1" applyBorder="1" applyAlignment="1">
      <alignment vertical="center" wrapText="1"/>
    </xf>
    <xf numFmtId="43" fontId="6" fillId="0" borderId="1" xfId="3" applyFont="1" applyBorder="1" applyAlignment="1">
      <alignment vertical="center" wrapText="1"/>
    </xf>
    <xf numFmtId="165" fontId="4" fillId="2" borderId="1" xfId="3" applyNumberFormat="1" applyFont="1" applyFill="1" applyBorder="1" applyAlignment="1" applyProtection="1">
      <alignment vertical="center" wrapText="1"/>
      <protection locked="0"/>
    </xf>
    <xf numFmtId="44" fontId="4" fillId="0" borderId="0" xfId="1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9" fontId="4" fillId="2" borderId="1" xfId="0" applyNumberFormat="1" applyFont="1" applyFill="1" applyBorder="1" applyAlignment="1" applyProtection="1">
      <alignment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2" xfId="0" applyFont="1" applyBorder="1"/>
    <xf numFmtId="165" fontId="4" fillId="0" borderId="2" xfId="3" applyNumberFormat="1" applyFont="1" applyBorder="1"/>
    <xf numFmtId="165" fontId="4" fillId="0" borderId="2" xfId="0" applyNumberFormat="1" applyFont="1" applyBorder="1"/>
    <xf numFmtId="0" fontId="4" fillId="0" borderId="3" xfId="0" applyFont="1" applyFill="1" applyBorder="1" applyAlignment="1">
      <alignment vertical="center" wrapText="1"/>
    </xf>
    <xf numFmtId="0" fontId="4" fillId="0" borderId="4" xfId="0" applyFont="1" applyBorder="1"/>
    <xf numFmtId="165" fontId="4" fillId="0" borderId="4" xfId="0" applyNumberFormat="1" applyFont="1" applyBorder="1"/>
    <xf numFmtId="165" fontId="4" fillId="0" borderId="5" xfId="0" applyNumberFormat="1" applyFont="1" applyBorder="1"/>
    <xf numFmtId="0" fontId="4" fillId="0" borderId="0" xfId="0" applyFont="1" applyFill="1" applyBorder="1" applyAlignment="1">
      <alignment vertical="center" wrapText="1"/>
    </xf>
    <xf numFmtId="167" fontId="4" fillId="0" borderId="0" xfId="0" applyNumberFormat="1" applyFont="1"/>
    <xf numFmtId="0" fontId="4" fillId="0" borderId="0" xfId="0" applyFont="1" applyFill="1" applyBorder="1"/>
    <xf numFmtId="0" fontId="4" fillId="0" borderId="0" xfId="0" applyFont="1" applyFill="1"/>
    <xf numFmtId="0" fontId="3" fillId="0" borderId="0" xfId="0" applyFont="1" applyFill="1" applyBorder="1" applyAlignment="1">
      <alignment vertical="center" wrapText="1"/>
    </xf>
    <xf numFmtId="165" fontId="4" fillId="0" borderId="1" xfId="3" applyNumberFormat="1" applyFont="1" applyFill="1" applyBorder="1"/>
    <xf numFmtId="43" fontId="6" fillId="0" borderId="1" xfId="3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vertical="center" wrapText="1"/>
      <protection locked="0"/>
    </xf>
    <xf numFmtId="165" fontId="6" fillId="0" borderId="1" xfId="3" applyNumberFormat="1" applyFont="1" applyBorder="1"/>
    <xf numFmtId="0" fontId="8" fillId="0" borderId="1" xfId="0" applyFont="1" applyBorder="1" applyAlignment="1" applyProtection="1">
      <alignment vertical="center" wrapText="1"/>
    </xf>
    <xf numFmtId="43" fontId="4" fillId="0" borderId="0" xfId="0" applyNumberFormat="1" applyFont="1"/>
    <xf numFmtId="0" fontId="4" fillId="0" borderId="0" xfId="0" applyFont="1" applyBorder="1" applyAlignment="1">
      <alignment vertical="center" wrapText="1"/>
    </xf>
    <xf numFmtId="165" fontId="5" fillId="0" borderId="0" xfId="3" applyNumberFormat="1" applyFont="1" applyBorder="1" applyAlignment="1" applyProtection="1">
      <alignment horizontal="center" vertical="center" wrapText="1"/>
    </xf>
    <xf numFmtId="165" fontId="6" fillId="0" borderId="0" xfId="3" applyNumberFormat="1" applyFont="1" applyBorder="1"/>
    <xf numFmtId="165" fontId="4" fillId="0" borderId="0" xfId="0" applyNumberFormat="1" applyFont="1" applyBorder="1"/>
    <xf numFmtId="165" fontId="4" fillId="0" borderId="0" xfId="3" applyNumberFormat="1" applyFont="1" applyBorder="1"/>
    <xf numFmtId="0" fontId="5" fillId="0" borderId="2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165" fontId="5" fillId="0" borderId="7" xfId="3" applyNumberFormat="1" applyFont="1" applyBorder="1" applyAlignment="1" applyProtection="1">
      <alignment horizontal="center" vertical="center" wrapText="1"/>
    </xf>
    <xf numFmtId="168" fontId="5" fillId="0" borderId="7" xfId="3" applyNumberFormat="1" applyFont="1" applyBorder="1" applyAlignment="1" applyProtection="1">
      <alignment horizontal="center" vertical="center" wrapText="1"/>
    </xf>
    <xf numFmtId="0" fontId="4" fillId="0" borderId="8" xfId="0" applyFont="1" applyBorder="1"/>
    <xf numFmtId="0" fontId="4" fillId="0" borderId="0" xfId="0" applyFont="1" applyAlignment="1">
      <alignment horizontal="right"/>
    </xf>
    <xf numFmtId="165" fontId="4" fillId="0" borderId="7" xfId="3" applyNumberFormat="1" applyFont="1" applyBorder="1"/>
    <xf numFmtId="165" fontId="4" fillId="0" borderId="9" xfId="0" applyNumberFormat="1" applyFont="1" applyBorder="1"/>
    <xf numFmtId="165" fontId="9" fillId="3" borderId="1" xfId="3" applyNumberFormat="1" applyFont="1" applyFill="1" applyBorder="1" applyAlignment="1">
      <alignment horizontal="right" readingOrder="1"/>
    </xf>
    <xf numFmtId="0" fontId="10" fillId="0" borderId="1" xfId="0" applyFont="1" applyBorder="1"/>
    <xf numFmtId="49" fontId="0" fillId="0" borderId="1" xfId="0" applyNumberFormat="1" applyBorder="1" applyAlignment="1">
      <alignment horizontal="right"/>
    </xf>
    <xf numFmtId="165" fontId="9" fillId="3" borderId="9" xfId="3" applyNumberFormat="1" applyFont="1" applyFill="1" applyBorder="1" applyAlignment="1">
      <alignment horizontal="right" readingOrder="1"/>
    </xf>
    <xf numFmtId="0" fontId="11" fillId="3" borderId="1" xfId="0" applyFont="1" applyFill="1" applyBorder="1" applyAlignment="1">
      <alignment horizontal="right" readingOrder="1"/>
    </xf>
    <xf numFmtId="0" fontId="12" fillId="0" borderId="0" xfId="0" applyFont="1"/>
    <xf numFmtId="43" fontId="4" fillId="4" borderId="1" xfId="3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/>
    <xf numFmtId="0" fontId="4" fillId="4" borderId="1" xfId="0" applyFont="1" applyFill="1" applyBorder="1" applyAlignment="1">
      <alignment vertical="center" wrapText="1"/>
    </xf>
    <xf numFmtId="43" fontId="4" fillId="4" borderId="1" xfId="3" applyFont="1" applyFill="1" applyBorder="1" applyAlignment="1">
      <alignment vertical="center" wrapText="1"/>
    </xf>
    <xf numFmtId="0" fontId="8" fillId="4" borderId="1" xfId="0" applyFont="1" applyFill="1" applyBorder="1" applyAlignment="1" applyProtection="1">
      <alignment vertical="center" wrapText="1"/>
    </xf>
    <xf numFmtId="165" fontId="4" fillId="4" borderId="1" xfId="3" applyNumberFormat="1" applyFont="1" applyFill="1" applyBorder="1" applyAlignment="1">
      <alignment vertical="center" wrapText="1"/>
    </xf>
    <xf numFmtId="165" fontId="4" fillId="4" borderId="1" xfId="3" applyNumberFormat="1" applyFont="1" applyFill="1" applyBorder="1" applyAlignment="1" applyProtection="1">
      <alignment horizontal="right" vertical="center" wrapText="1"/>
      <protection locked="0"/>
    </xf>
    <xf numFmtId="9" fontId="4" fillId="4" borderId="1" xfId="2" applyFont="1" applyFill="1" applyBorder="1" applyAlignment="1">
      <alignment vertical="center" wrapText="1"/>
    </xf>
    <xf numFmtId="0" fontId="5" fillId="4" borderId="1" xfId="0" applyFont="1" applyFill="1" applyBorder="1" applyAlignment="1" applyProtection="1">
      <alignment vertical="center" wrapText="1"/>
    </xf>
    <xf numFmtId="43" fontId="7" fillId="4" borderId="1" xfId="3" applyFont="1" applyFill="1" applyBorder="1" applyAlignment="1">
      <alignment vertical="center" wrapText="1"/>
    </xf>
    <xf numFmtId="43" fontId="4" fillId="4" borderId="1" xfId="3" applyFont="1" applyFill="1" applyBorder="1" applyAlignment="1"/>
    <xf numFmtId="165" fontId="4" fillId="0" borderId="0" xfId="3" applyNumberFormat="1" applyFont="1"/>
    <xf numFmtId="0" fontId="4" fillId="2" borderId="1" xfId="0" applyFont="1" applyFill="1" applyBorder="1" applyProtection="1">
      <protection locked="0"/>
    </xf>
    <xf numFmtId="9" fontId="4" fillId="2" borderId="1" xfId="2" applyFont="1" applyFill="1" applyBorder="1" applyAlignment="1" applyProtection="1">
      <alignment vertical="center" wrapText="1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</cellXfs>
  <cellStyles count="4">
    <cellStyle name="Comma" xfId="3" builtinId="3"/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2"/>
  <sheetViews>
    <sheetView rightToLeft="1" tabSelected="1" workbookViewId="0">
      <selection activeCell="C11" sqref="C11"/>
    </sheetView>
  </sheetViews>
  <sheetFormatPr defaultRowHeight="20.25" customHeight="1" x14ac:dyDescent="0.2"/>
  <cols>
    <col min="1" max="1" width="5.5" style="3" customWidth="1"/>
    <col min="2" max="2" width="43.625" style="3" customWidth="1"/>
    <col min="3" max="3" width="9.875" style="3" customWidth="1"/>
    <col min="4" max="4" width="10.75" style="3" customWidth="1"/>
    <col min="5" max="5" width="7.125" style="3" customWidth="1"/>
    <col min="6" max="6" width="16.125" style="3" customWidth="1"/>
    <col min="7" max="7" width="8" style="3" customWidth="1"/>
    <col min="8" max="8" width="8.25" style="3" customWidth="1"/>
    <col min="9" max="9" width="7.125" style="3" customWidth="1"/>
    <col min="10" max="10" width="9.125" style="3" customWidth="1"/>
    <col min="11" max="11" width="9.75" style="3" customWidth="1"/>
    <col min="12" max="12" width="9.375" style="3" customWidth="1"/>
    <col min="13" max="14" width="10.5" style="3" customWidth="1"/>
    <col min="15" max="15" width="47.125" style="3" customWidth="1"/>
    <col min="16" max="16" width="11.375" style="3" bestFit="1" customWidth="1"/>
    <col min="17" max="16384" width="9" style="3"/>
  </cols>
  <sheetData>
    <row r="1" spans="2:15" ht="20.25" customHeight="1" x14ac:dyDescent="0.25">
      <c r="B1" s="68" t="s">
        <v>53</v>
      </c>
    </row>
    <row r="2" spans="2:15" ht="23.25" customHeight="1" x14ac:dyDescent="0.2">
      <c r="B2" s="4" t="s">
        <v>35</v>
      </c>
      <c r="C2" s="4" t="s">
        <v>34</v>
      </c>
      <c r="D2" s="4" t="s">
        <v>46</v>
      </c>
      <c r="E2" s="5"/>
      <c r="F2" s="6" t="s">
        <v>65</v>
      </c>
      <c r="G2" s="6" t="s">
        <v>44</v>
      </c>
      <c r="H2" s="6" t="s">
        <v>45</v>
      </c>
      <c r="I2" s="6" t="s">
        <v>76</v>
      </c>
      <c r="J2" s="6" t="s">
        <v>47</v>
      </c>
      <c r="K2" s="6" t="s">
        <v>49</v>
      </c>
      <c r="L2" s="6" t="s">
        <v>37</v>
      </c>
      <c r="M2" s="6" t="s">
        <v>33</v>
      </c>
      <c r="N2" s="6" t="s">
        <v>43</v>
      </c>
    </row>
    <row r="3" spans="2:15" ht="14.25" customHeight="1" x14ac:dyDescent="0.2">
      <c r="B3" s="47" t="s">
        <v>39</v>
      </c>
      <c r="C3" s="81" t="s">
        <v>42</v>
      </c>
      <c r="D3" s="79">
        <f>IF(C3="מדיניות",0.7,IF(C3="סקר",0.4,1))</f>
        <v>1</v>
      </c>
      <c r="F3" s="9" t="s">
        <v>9</v>
      </c>
      <c r="G3" s="7" t="s">
        <v>48</v>
      </c>
      <c r="H3" s="26">
        <v>418</v>
      </c>
      <c r="I3" s="26">
        <v>0.91</v>
      </c>
      <c r="J3" s="7">
        <v>1.1200000000000001</v>
      </c>
      <c r="K3" s="11">
        <f>D3*(H3*C4*D15+I3*D19*D15)*J3*D22*D23*C41*D25*D26*1.05</f>
        <v>565917.10488060256</v>
      </c>
      <c r="L3" s="10">
        <f>IF(K3,D$3*200000,0)</f>
        <v>200000</v>
      </c>
      <c r="M3" s="11">
        <f>IF(K3&lt;L3,IF(K3,L3,0),K3)</f>
        <v>565917.10488060256</v>
      </c>
      <c r="N3" s="12">
        <f>M3*(1+C$42)</f>
        <v>662123.01271030493</v>
      </c>
      <c r="O3" s="13"/>
    </row>
    <row r="4" spans="2:15" ht="14.25" customHeight="1" x14ac:dyDescent="0.2">
      <c r="B4" s="47" t="s">
        <v>5</v>
      </c>
      <c r="C4" s="24">
        <v>900</v>
      </c>
      <c r="D4" s="79"/>
      <c r="F4" s="9" t="s">
        <v>20</v>
      </c>
      <c r="G4" s="14">
        <v>0.10199999999999999</v>
      </c>
      <c r="H4" s="54" t="s">
        <v>48</v>
      </c>
      <c r="I4" s="7"/>
      <c r="J4" s="15">
        <v>1.65</v>
      </c>
      <c r="K4" s="12">
        <f>D3*D19*G4*J4*D9*D28*C41</f>
        <v>37833.803905061533</v>
      </c>
      <c r="L4" s="10">
        <f>IF(K4,D$3*50000,0)</f>
        <v>50000</v>
      </c>
      <c r="M4" s="11">
        <f t="shared" ref="M4" si="0">IF(K4&lt;L4,IF(K4,L4,0),K4)</f>
        <v>50000</v>
      </c>
      <c r="N4" s="12">
        <f>M4*(1+C$42)</f>
        <v>58500</v>
      </c>
      <c r="O4" s="16"/>
    </row>
    <row r="5" spans="2:15" ht="14.25" customHeight="1" x14ac:dyDescent="0.2">
      <c r="B5" s="47" t="s">
        <v>77</v>
      </c>
      <c r="C5" s="24" t="s">
        <v>79</v>
      </c>
      <c r="D5" s="79"/>
      <c r="F5" s="9" t="s">
        <v>68</v>
      </c>
      <c r="G5" s="57">
        <v>25</v>
      </c>
      <c r="H5" s="26" t="s">
        <v>48</v>
      </c>
      <c r="I5" s="59"/>
      <c r="J5" s="46">
        <v>81000</v>
      </c>
      <c r="K5" s="12">
        <f>D3*C16*G5*D27+J5</f>
        <v>117000</v>
      </c>
      <c r="L5" s="10">
        <f>IF(K5,D$3*40000,0)</f>
        <v>40000</v>
      </c>
      <c r="M5" s="11">
        <f>IF(K5&lt;L5,IF(K5,L5,0),K5)</f>
        <v>117000</v>
      </c>
      <c r="N5" s="12">
        <f>M5*(1+C$42)</f>
        <v>136890</v>
      </c>
      <c r="O5" s="16"/>
    </row>
    <row r="6" spans="2:15" ht="14.25" customHeight="1" x14ac:dyDescent="0.2">
      <c r="B6" s="47" t="s">
        <v>74</v>
      </c>
      <c r="C6" s="24">
        <v>1200</v>
      </c>
      <c r="D6" s="79">
        <f>IF('חישוב תעריף'!C5="1:500",IF(C6&lt;500,46.04,IF(C6&gt;=3000,30.53,TREND(D7:D8,C7:C8,C6))),IF(C6&lt;1500,26.07,IF(C6&gt;=12000,18.54,TREND(D7:D8,C7:C8,C6))))</f>
        <v>26.07</v>
      </c>
      <c r="F6" s="49"/>
      <c r="G6" s="50"/>
      <c r="H6" s="56"/>
      <c r="I6" s="13"/>
      <c r="J6" s="51"/>
      <c r="K6" s="52"/>
      <c r="L6" s="16"/>
      <c r="M6" s="53"/>
      <c r="N6" s="52"/>
      <c r="O6" s="16"/>
    </row>
    <row r="7" spans="2:15" ht="14.25" customHeight="1" x14ac:dyDescent="0.2">
      <c r="B7" s="73" t="s">
        <v>85</v>
      </c>
      <c r="C7" s="74">
        <f>IF('חישוב תעריף'!C5="1:500",VLOOKUP(C6,רשימות!A21:A26,1,TRUE),VLOOKUP(C6,רשימות!A28:A34,1,TRUE))</f>
        <v>1</v>
      </c>
      <c r="D7" s="79">
        <f>IF('חישוב תעריף'!C5="1:500",VLOOKUP(C7,רשימות!A21:B26,2,FALSE),VLOOKUP(C7,רשימות!A28:B34,2,FALSE))</f>
        <v>0</v>
      </c>
      <c r="F7" s="49"/>
      <c r="G7" s="50"/>
      <c r="H7" s="56"/>
      <c r="I7" s="13"/>
      <c r="J7" s="51"/>
      <c r="K7" s="52"/>
      <c r="L7" s="16"/>
      <c r="M7" s="53"/>
      <c r="N7" s="52"/>
      <c r="O7" s="16"/>
    </row>
    <row r="8" spans="2:15" ht="14.25" customHeight="1" x14ac:dyDescent="0.2">
      <c r="B8" s="73" t="s">
        <v>86</v>
      </c>
      <c r="C8" s="74">
        <f ca="1">IF('חישוב תעריף'!C5="1:500",OFFSET(רשימות!A21,MATCH(C6,רשימות!A21:A26),0),OFFSET(רשימות!A28,MATCH(C6,רשימות!A28:A34),0))</f>
        <v>1500</v>
      </c>
      <c r="D8" s="79">
        <f ca="1">IF('חישוב תעריף'!C5="1:500",VLOOKUP(C8,רשימות!A21:B26,2,FALSE),VLOOKUP(C8,רשימות!A28:B34,2,FALSE))</f>
        <v>26.07</v>
      </c>
      <c r="F8" s="49"/>
      <c r="G8" s="50"/>
      <c r="H8" s="56"/>
      <c r="I8" s="13"/>
      <c r="J8" s="51"/>
      <c r="K8" s="52"/>
      <c r="L8" s="16"/>
      <c r="M8" s="53"/>
      <c r="N8" s="52"/>
      <c r="O8" s="16"/>
    </row>
    <row r="9" spans="2:15" ht="14.25" customHeight="1" x14ac:dyDescent="0.2">
      <c r="B9" s="47" t="s">
        <v>6</v>
      </c>
      <c r="C9" s="24">
        <v>18000</v>
      </c>
      <c r="D9" s="72">
        <f>660*(C9^(-0.6))</f>
        <v>1.846632320467853</v>
      </c>
      <c r="H9" s="56"/>
      <c r="O9" s="16"/>
    </row>
    <row r="10" spans="2:15" ht="14.25" customHeight="1" x14ac:dyDescent="0.2">
      <c r="B10" s="47" t="s">
        <v>0</v>
      </c>
      <c r="C10" s="17">
        <v>5000</v>
      </c>
      <c r="D10" s="72">
        <f>(0.076*((C10/1000)-2)*2.7182818^(-0.1*((C10/1000)-2))+0.9)</f>
        <v>1.0689065548459418</v>
      </c>
      <c r="E10" s="18"/>
      <c r="F10" s="9" t="s">
        <v>11</v>
      </c>
      <c r="G10" s="58">
        <v>0.84699999999999998</v>
      </c>
      <c r="H10" s="26" t="s">
        <v>48</v>
      </c>
      <c r="I10" s="59"/>
      <c r="J10" s="15">
        <v>1.2</v>
      </c>
      <c r="K10" s="11">
        <f>D3*C9*G10*J10*D27*D9*D10*C41</f>
        <v>43508.317900755363</v>
      </c>
      <c r="L10" s="10">
        <f>IF(K10,D$3*25000,0)</f>
        <v>25000</v>
      </c>
      <c r="M10" s="11">
        <f>IF(D3=0.4,0,IF(K10&lt;L10,IF(K10,L10,0),K10))</f>
        <v>43508.317900755363</v>
      </c>
      <c r="N10" s="12">
        <f t="shared" ref="N10:N19" si="1">M10*(1+C$42)</f>
        <v>50904.731943883773</v>
      </c>
      <c r="O10" s="16"/>
    </row>
    <row r="11" spans="2:15" ht="14.25" customHeight="1" x14ac:dyDescent="0.2">
      <c r="B11" s="73" t="s">
        <v>57</v>
      </c>
      <c r="C11" s="75"/>
      <c r="D11" s="72">
        <f>IF(C10&lt;5000,1.2,IF(C10&lt;20000,1,IF(C10&lt;50000,1.2,IF(C10&lt;100000,1.3,1.4))))</f>
        <v>1</v>
      </c>
      <c r="E11" s="18"/>
      <c r="F11" s="9" t="s">
        <v>15</v>
      </c>
      <c r="G11" s="21">
        <v>1.3720000000000001</v>
      </c>
      <c r="H11" s="55">
        <v>5.0199999999999996</v>
      </c>
      <c r="I11" s="22"/>
      <c r="J11" s="23">
        <v>1.75</v>
      </c>
      <c r="K11" s="11">
        <f>D3*J11*(H11*C4+G11*C9)*D13*D20*D23*C41*D28*D29</f>
        <v>241721.81900047738</v>
      </c>
      <c r="L11" s="10">
        <f>IF(K11,D$3*65000,0)</f>
        <v>65000</v>
      </c>
      <c r="M11" s="11">
        <f>IF(D3=0.4,0,IF(K11&lt;L11,IF(K11,L11,0),K11))</f>
        <v>241721.81900047738</v>
      </c>
      <c r="N11" s="12">
        <f t="shared" si="1"/>
        <v>282814.5282305585</v>
      </c>
      <c r="O11" s="16"/>
    </row>
    <row r="12" spans="2:15" ht="14.25" customHeight="1" x14ac:dyDescent="0.2">
      <c r="B12" s="73" t="s">
        <v>56</v>
      </c>
      <c r="C12" s="75"/>
      <c r="D12" s="72">
        <f>IF(C10&lt;5000,1,IF(C10&lt;30000,1.25,IF(C10&lt;100000,1.45,1.6)))</f>
        <v>1.25</v>
      </c>
      <c r="E12" s="18"/>
      <c r="F12" s="9" t="s">
        <v>18</v>
      </c>
      <c r="G12" s="21">
        <v>0.59599999999999997</v>
      </c>
      <c r="H12" s="26">
        <v>3.5750000000000002</v>
      </c>
      <c r="I12" s="22"/>
      <c r="J12" s="23">
        <v>1.4</v>
      </c>
      <c r="K12" s="11">
        <f>D3*(G12*C9+H12*C4)*J12*D13*D20*D23*C41*D28</f>
        <v>65935.737794426488</v>
      </c>
      <c r="L12" s="10">
        <f>IF(K12,D$3*30000,0)</f>
        <v>30000</v>
      </c>
      <c r="M12" s="11">
        <f>IF(D3=0.4,0,IF(K12&lt;L12,IF(K12,L12,0),K12))</f>
        <v>65935.737794426488</v>
      </c>
      <c r="N12" s="12">
        <f t="shared" si="1"/>
        <v>77144.81321947898</v>
      </c>
      <c r="O12" s="16"/>
    </row>
    <row r="13" spans="2:15" ht="14.25" customHeight="1" x14ac:dyDescent="0.2">
      <c r="B13" s="47" t="s">
        <v>1</v>
      </c>
      <c r="C13" s="82">
        <v>7.0000000000000007E-2</v>
      </c>
      <c r="D13" s="69">
        <f>1+C13/2</f>
        <v>1.0349999999999999</v>
      </c>
      <c r="E13" s="20"/>
      <c r="F13" s="9" t="s">
        <v>10</v>
      </c>
      <c r="G13" s="21">
        <v>1.0109999999999999</v>
      </c>
      <c r="H13" s="26">
        <v>9.7949999999999999</v>
      </c>
      <c r="I13" s="26"/>
      <c r="J13" s="23">
        <v>1.82</v>
      </c>
      <c r="K13" s="11">
        <f>D3*J13*(H13*C4+G13*C9)*D13*D20*D30*D28*C41*D23</f>
        <v>190945.23710874908</v>
      </c>
      <c r="L13" s="10">
        <f>IF(K13,D$3*65000,0)</f>
        <v>65000</v>
      </c>
      <c r="M13" s="11">
        <f>IF(D3=0.4,0,IF(K13&lt;L13,IF(K13,L13,0),K13))</f>
        <v>190945.23710874908</v>
      </c>
      <c r="N13" s="12">
        <f t="shared" si="1"/>
        <v>223405.92741723641</v>
      </c>
      <c r="O13" s="16"/>
    </row>
    <row r="14" spans="2:15" ht="14.25" customHeight="1" x14ac:dyDescent="0.2">
      <c r="B14" s="73" t="s">
        <v>60</v>
      </c>
      <c r="C14" s="76"/>
      <c r="D14" s="69">
        <f>(C17+C16*100)/(C4*1000)</f>
        <v>0.13388888888888889</v>
      </c>
      <c r="E14" s="20"/>
      <c r="F14" s="9" t="s">
        <v>19</v>
      </c>
      <c r="G14" s="21">
        <v>0.71699999999999997</v>
      </c>
      <c r="H14" s="26">
        <v>2.7610000000000001</v>
      </c>
      <c r="I14" s="26"/>
      <c r="J14" s="23">
        <v>1.4</v>
      </c>
      <c r="K14" s="11">
        <f>D3*J14*(H14*C4+G14*C9)*D13*D20*D23*D28*C41</f>
        <v>72769.735529040816</v>
      </c>
      <c r="L14" s="10">
        <f>IF(K14,D$3*40000,0)</f>
        <v>40000</v>
      </c>
      <c r="M14" s="11">
        <f>IF(D3=0.4,0,IF(K14&lt;L14,IF(K14,L14,0),K14))</f>
        <v>72769.735529040816</v>
      </c>
      <c r="N14" s="12">
        <f t="shared" si="1"/>
        <v>85140.590568977743</v>
      </c>
      <c r="O14" s="16"/>
    </row>
    <row r="15" spans="2:15" ht="14.25" customHeight="1" x14ac:dyDescent="0.2">
      <c r="B15" s="73" t="s">
        <v>59</v>
      </c>
      <c r="C15" s="76"/>
      <c r="D15" s="69">
        <f>IF(C13&lt;=7%,IF(D14&lt;=25%,0.9,1),IF(C13&lt;=12%,IF(D14&lt;=25%,1,1.1),IF(C13&lt;=20%,IF(D14&lt;=25%,1.05,1.15),IF(D14&lt;=25%,1.1,1.2))))</f>
        <v>0.9</v>
      </c>
      <c r="E15" s="20"/>
      <c r="F15" s="9" t="s">
        <v>13</v>
      </c>
      <c r="G15" s="21">
        <v>0.51400000000000001</v>
      </c>
      <c r="H15" s="26">
        <v>2.2120000000000002</v>
      </c>
      <c r="I15" s="26"/>
      <c r="J15" s="23">
        <v>1.4</v>
      </c>
      <c r="K15" s="11">
        <f>D3*J15*(H15*C4+G15*C9)*D13*D20*D23*C41*D28</f>
        <v>53157.09819477093</v>
      </c>
      <c r="L15" s="10">
        <f>IF(K15,D$3*25000,0)</f>
        <v>25000</v>
      </c>
      <c r="M15" s="11">
        <f>IF(D3=0.4,0,IF(K15&lt;L15,IF(K15,L15,0),K15))</f>
        <v>53157.09819477093</v>
      </c>
      <c r="N15" s="12">
        <f t="shared" si="1"/>
        <v>62193.804887881983</v>
      </c>
      <c r="O15" s="16"/>
    </row>
    <row r="16" spans="2:15" ht="14.25" customHeight="1" x14ac:dyDescent="0.2">
      <c r="B16" s="47" t="s">
        <v>2</v>
      </c>
      <c r="C16" s="24">
        <v>1200</v>
      </c>
      <c r="D16" s="79"/>
      <c r="E16" s="25"/>
      <c r="F16" s="9" t="s">
        <v>12</v>
      </c>
      <c r="G16" s="21">
        <v>0.33100000000000002</v>
      </c>
      <c r="H16" s="26">
        <v>1.159</v>
      </c>
      <c r="I16" s="26"/>
      <c r="J16" s="23">
        <v>1.4</v>
      </c>
      <c r="K16" s="12">
        <f>D3*J16*(H16*C4+G16*C9)*D13*D20*D23*D28*C41</f>
        <v>33101.910571335502</v>
      </c>
      <c r="L16" s="10">
        <f>IF(K16,D$3*25000,0)</f>
        <v>25000</v>
      </c>
      <c r="M16" s="11">
        <f>IF(D3=0.4,0,IF(K16&lt;L16,IF(K16,L16,0),K16))</f>
        <v>33101.910571335502</v>
      </c>
      <c r="N16" s="12">
        <f t="shared" si="1"/>
        <v>38729.235368462534</v>
      </c>
      <c r="O16" s="16"/>
    </row>
    <row r="17" spans="2:16" ht="14.25" customHeight="1" x14ac:dyDescent="0.2">
      <c r="B17" s="47" t="s">
        <v>3</v>
      </c>
      <c r="C17" s="24">
        <v>500</v>
      </c>
      <c r="D17" s="79"/>
      <c r="E17" s="25"/>
      <c r="F17" s="9" t="s">
        <v>16</v>
      </c>
      <c r="G17" s="19" t="s">
        <v>48</v>
      </c>
      <c r="H17" s="26" t="s">
        <v>48</v>
      </c>
      <c r="I17" s="7"/>
      <c r="J17" s="43">
        <v>58437</v>
      </c>
      <c r="K17" s="12">
        <f>D3*J17*D12*D35*C41</f>
        <v>88006.122000000003</v>
      </c>
      <c r="L17" s="10">
        <f>IF(K17,D$3*50000,0)</f>
        <v>50000</v>
      </c>
      <c r="M17" s="11">
        <f>IF(D3=0.4,0,IF(K17&lt;L17,IF(K17,L17,0),K17))</f>
        <v>88006.122000000003</v>
      </c>
      <c r="N17" s="12">
        <f t="shared" si="1"/>
        <v>102967.16274</v>
      </c>
      <c r="O17" s="16"/>
    </row>
    <row r="18" spans="2:16" ht="14.25" customHeight="1" x14ac:dyDescent="0.2">
      <c r="B18" s="47" t="s">
        <v>4</v>
      </c>
      <c r="C18" s="24">
        <v>0</v>
      </c>
      <c r="D18" s="79"/>
      <c r="E18" s="25"/>
      <c r="F18" s="9" t="s">
        <v>17</v>
      </c>
      <c r="G18" s="14">
        <v>0.66</v>
      </c>
      <c r="H18" s="26">
        <v>6.4889999999999999</v>
      </c>
      <c r="I18" s="29"/>
      <c r="J18" s="44">
        <v>1.33</v>
      </c>
      <c r="K18" s="11">
        <f>D3*J18*(H18*C4+G18*C9)*D20*D40*D28*C41</f>
        <v>69910.67878797742</v>
      </c>
      <c r="L18" s="10">
        <f>IF(K18,D$3*40000,0)</f>
        <v>40000</v>
      </c>
      <c r="M18" s="11">
        <f>IF(D3=0.4,0,IF(K18&lt;L18,IF(K18,L18,0),K18))</f>
        <v>69910.67878797742</v>
      </c>
      <c r="N18" s="33">
        <f t="shared" si="1"/>
        <v>81795.49418193358</v>
      </c>
      <c r="O18" s="16"/>
    </row>
    <row r="19" spans="2:16" ht="14.25" customHeight="1" x14ac:dyDescent="0.2">
      <c r="B19" s="73" t="s">
        <v>38</v>
      </c>
      <c r="C19" s="70"/>
      <c r="D19" s="79">
        <f>C16*100+C17*2.5+C18*30</f>
        <v>121250</v>
      </c>
      <c r="E19" s="25"/>
      <c r="F19" s="27" t="s">
        <v>81</v>
      </c>
      <c r="G19" s="7"/>
      <c r="H19" s="7"/>
      <c r="I19" s="7"/>
      <c r="J19" s="7"/>
      <c r="K19" s="11">
        <f>5300+C6*C41*D6+(5000+(C21-10)*500)+1600+IF(C4&lt;=100,17904+9852,22380+13428)</f>
        <v>119117.136</v>
      </c>
      <c r="L19" s="10"/>
      <c r="M19" s="61">
        <f t="shared" ref="M19" si="2">IF(K19&lt;L19,IF(K19,L19,0),K19)</f>
        <v>119117.136</v>
      </c>
      <c r="N19" s="12">
        <f t="shared" si="1"/>
        <v>139367.04911999998</v>
      </c>
      <c r="O19" s="38"/>
    </row>
    <row r="20" spans="2:16" ht="14.25" customHeight="1" x14ac:dyDescent="0.2">
      <c r="B20" s="73" t="s">
        <v>7</v>
      </c>
      <c r="C20" s="70"/>
      <c r="D20" s="79">
        <f>2412*POWER(3*C4+0.6*C9,-0.705)</f>
        <v>2.9545544404813353</v>
      </c>
      <c r="E20" s="25"/>
      <c r="F20" s="30" t="s">
        <v>32</v>
      </c>
      <c r="G20" s="31"/>
      <c r="H20" s="31"/>
      <c r="I20" s="31"/>
      <c r="J20" s="31"/>
      <c r="K20" s="31"/>
      <c r="L20" s="10"/>
      <c r="M20" s="32"/>
      <c r="N20" s="62"/>
      <c r="O20" s="16"/>
    </row>
    <row r="21" spans="2:16" ht="14.25" customHeight="1" thickBot="1" x14ac:dyDescent="0.25">
      <c r="B21" s="47" t="s">
        <v>75</v>
      </c>
      <c r="C21" s="81">
        <v>90</v>
      </c>
      <c r="D21" s="79"/>
      <c r="E21" s="25"/>
      <c r="F21" s="30" t="s">
        <v>32</v>
      </c>
      <c r="G21" s="31"/>
      <c r="H21" s="31"/>
      <c r="I21" s="31"/>
      <c r="J21" s="31"/>
      <c r="K21" s="31"/>
      <c r="L21" s="10"/>
      <c r="M21" s="32">
        <f>IF(K21&lt;L21,IF(K21,L21,0),K21)</f>
        <v>0</v>
      </c>
      <c r="N21" s="33">
        <f>M21*(1+C$42)</f>
        <v>0</v>
      </c>
      <c r="O21" s="16"/>
    </row>
    <row r="22" spans="2:16" ht="14.25" customHeight="1" thickBot="1" x14ac:dyDescent="0.25">
      <c r="B22" s="73" t="s">
        <v>62</v>
      </c>
      <c r="C22" s="70"/>
      <c r="D22" s="79">
        <f>((20.25*((0.5*C4*1000+1.3*D19)^0.833))/(0.5*C4*1000+1.3*D19))-1.215</f>
        <v>0.97557373746796938</v>
      </c>
      <c r="E22" s="25"/>
      <c r="F22" s="34" t="s">
        <v>51</v>
      </c>
      <c r="G22" s="35"/>
      <c r="H22" s="35"/>
      <c r="I22" s="35"/>
      <c r="J22" s="35"/>
      <c r="K22" s="36">
        <f>SUM(K3:K21)</f>
        <v>1698924.7016731973</v>
      </c>
      <c r="L22" s="36">
        <f>SUM(L3:L21)</f>
        <v>655000</v>
      </c>
      <c r="M22" s="36">
        <f>SUM(M3:M21)</f>
        <v>1711090.8977681356</v>
      </c>
      <c r="N22" s="37">
        <f>SUM(N3:N21)</f>
        <v>2001976.3503887183</v>
      </c>
      <c r="O22" s="16"/>
    </row>
    <row r="23" spans="2:16" ht="14.25" customHeight="1" x14ac:dyDescent="0.2">
      <c r="B23" s="47" t="s">
        <v>8</v>
      </c>
      <c r="C23" s="28">
        <v>0.4</v>
      </c>
      <c r="D23" s="79">
        <f>IF(C23&lt;20%,1,1+((C23-0.2)/2))</f>
        <v>1.1000000000000001</v>
      </c>
      <c r="E23" s="25"/>
      <c r="O23" s="16"/>
    </row>
    <row r="24" spans="2:16" ht="14.25" customHeight="1" x14ac:dyDescent="0.2">
      <c r="B24" s="73" t="s">
        <v>14</v>
      </c>
      <c r="C24" s="71"/>
      <c r="D24" s="72">
        <f>C4*C23</f>
        <v>360</v>
      </c>
      <c r="E24" s="25"/>
      <c r="O24" s="16"/>
    </row>
    <row r="25" spans="2:16" ht="14.25" customHeight="1" x14ac:dyDescent="0.2">
      <c r="B25" s="47" t="s">
        <v>28</v>
      </c>
      <c r="C25" s="45">
        <v>10</v>
      </c>
      <c r="D25" s="72">
        <f>IF(C25&lt;8,1,1+(C25-8)/100)</f>
        <v>1.02</v>
      </c>
      <c r="E25" s="25"/>
      <c r="F25" s="3" t="s">
        <v>80</v>
      </c>
      <c r="J25" s="3">
        <v>1.1499999999999999</v>
      </c>
      <c r="N25" s="80">
        <f>N22*J25</f>
        <v>2302272.8029470257</v>
      </c>
      <c r="O25" s="16"/>
    </row>
    <row r="26" spans="2:16" ht="14.25" customHeight="1" x14ac:dyDescent="0.2">
      <c r="B26" s="47" t="s">
        <v>25</v>
      </c>
      <c r="C26" s="83" t="s">
        <v>27</v>
      </c>
      <c r="D26" s="72">
        <f>IF(C26="כן", 1.05,1)</f>
        <v>1</v>
      </c>
      <c r="E26" s="25"/>
      <c r="F26" s="40"/>
      <c r="G26" s="41"/>
    </row>
    <row r="27" spans="2:16" ht="14.25" customHeight="1" x14ac:dyDescent="0.2">
      <c r="B27" s="47" t="s">
        <v>64</v>
      </c>
      <c r="C27" s="83" t="s">
        <v>26</v>
      </c>
      <c r="D27" s="72">
        <f>IF(C27="כן",1.2,1)</f>
        <v>1.2</v>
      </c>
      <c r="E27" s="25"/>
      <c r="N27" s="1"/>
    </row>
    <row r="28" spans="2:16" ht="14.25" customHeight="1" x14ac:dyDescent="0.2">
      <c r="B28" s="47" t="s">
        <v>67</v>
      </c>
      <c r="C28" s="83">
        <v>0</v>
      </c>
      <c r="D28" s="72">
        <f>IF(C28=0,1,IF(C28&lt;=2,1.2,1.2+0.05*(C28-2)))</f>
        <v>1</v>
      </c>
      <c r="E28" s="25"/>
      <c r="F28" s="38" t="s">
        <v>52</v>
      </c>
      <c r="N28" s="39">
        <f>N22*0.1</f>
        <v>200197.63503887184</v>
      </c>
    </row>
    <row r="29" spans="2:16" ht="14.25" customHeight="1" x14ac:dyDescent="0.2">
      <c r="B29" s="47" t="s">
        <v>66</v>
      </c>
      <c r="C29" s="45">
        <v>3</v>
      </c>
      <c r="D29" s="72">
        <f>IF(C29=0,1,IF(C29=1,1.2,1.2+0.1*(C29-1)))</f>
        <v>1.4</v>
      </c>
      <c r="E29" s="25"/>
      <c r="N29" s="1"/>
      <c r="O29" s="40"/>
      <c r="P29" s="40"/>
    </row>
    <row r="30" spans="2:16" ht="14.25" customHeight="1" x14ac:dyDescent="0.2">
      <c r="B30" s="47" t="s">
        <v>54</v>
      </c>
      <c r="C30" s="83">
        <v>3</v>
      </c>
      <c r="D30" s="72">
        <f>1+0.05*C30</f>
        <v>1.1499999999999999</v>
      </c>
      <c r="M30" s="48"/>
      <c r="N30" s="1"/>
      <c r="O30" s="40"/>
      <c r="P30" s="40"/>
    </row>
    <row r="31" spans="2:16" ht="14.25" customHeight="1" x14ac:dyDescent="0.2">
      <c r="B31" s="47" t="s">
        <v>63</v>
      </c>
      <c r="C31" s="83">
        <v>4</v>
      </c>
      <c r="D31" s="72">
        <f>IF(C31*2&lt;=10,1,IF(C31*2&lt;=20,1.1,IF(C31*2&lt;=30,1.2,1.3)))</f>
        <v>1</v>
      </c>
      <c r="N31" s="1"/>
      <c r="O31" s="1"/>
      <c r="P31" s="40"/>
    </row>
    <row r="32" spans="2:16" ht="14.25" customHeight="1" x14ac:dyDescent="0.2">
      <c r="B32" s="47" t="s">
        <v>29</v>
      </c>
      <c r="C32" s="83" t="s">
        <v>27</v>
      </c>
      <c r="D32" s="72">
        <f>IF(C32="כן",50%,0)</f>
        <v>0</v>
      </c>
      <c r="E32" s="25"/>
      <c r="N32" s="1"/>
      <c r="O32" s="1"/>
      <c r="P32" s="40"/>
    </row>
    <row r="33" spans="2:16" ht="14.25" customHeight="1" x14ac:dyDescent="0.2">
      <c r="B33" s="47" t="s">
        <v>30</v>
      </c>
      <c r="C33" s="83" t="s">
        <v>26</v>
      </c>
      <c r="D33" s="72">
        <f>IF(C33="כן",IF(C34="לא",20%,0),0)</f>
        <v>0.2</v>
      </c>
      <c r="E33" s="42"/>
      <c r="F33" s="60" t="s">
        <v>82</v>
      </c>
      <c r="N33" s="1"/>
      <c r="O33" s="1"/>
      <c r="P33" s="40"/>
    </row>
    <row r="34" spans="2:16" ht="14.25" customHeight="1" x14ac:dyDescent="0.2">
      <c r="B34" s="47" t="s">
        <v>31</v>
      </c>
      <c r="C34" s="83" t="s">
        <v>27</v>
      </c>
      <c r="D34" s="78"/>
      <c r="E34" s="13"/>
      <c r="N34" s="40"/>
      <c r="O34" s="1"/>
      <c r="P34" s="40"/>
    </row>
    <row r="35" spans="2:16" ht="14.25" customHeight="1" x14ac:dyDescent="0.2">
      <c r="B35" s="73" t="s">
        <v>55</v>
      </c>
      <c r="C35" s="77"/>
      <c r="D35" s="72">
        <f>1+SUM(D32,D33,D34)</f>
        <v>1.2</v>
      </c>
      <c r="E35" s="13"/>
      <c r="F35" s="41" t="s">
        <v>61</v>
      </c>
      <c r="N35" s="40"/>
      <c r="O35" s="1"/>
      <c r="P35" s="40"/>
    </row>
    <row r="36" spans="2:16" ht="14.25" customHeight="1" x14ac:dyDescent="0.2">
      <c r="B36" s="47" t="s">
        <v>70</v>
      </c>
      <c r="C36" s="83" t="s">
        <v>71</v>
      </c>
      <c r="D36" s="72">
        <f>IF(C3="איוש",1.2,IF(C3="אילת",1.5,1))</f>
        <v>1</v>
      </c>
      <c r="E36" s="13"/>
      <c r="N36" s="40"/>
      <c r="O36" s="1"/>
      <c r="P36" s="40"/>
    </row>
    <row r="37" spans="2:16" ht="14.25" customHeight="1" x14ac:dyDescent="0.2">
      <c r="B37" s="47" t="s">
        <v>21</v>
      </c>
      <c r="C37" s="83" t="s">
        <v>27</v>
      </c>
      <c r="D37" s="72">
        <f t="shared" ref="D37" si="3">IF(C37="כן",5%,0)</f>
        <v>0</v>
      </c>
      <c r="N37" s="40"/>
      <c r="O37" s="1"/>
      <c r="P37" s="40"/>
    </row>
    <row r="38" spans="2:16" ht="14.25" customHeight="1" x14ac:dyDescent="0.2">
      <c r="B38" s="47" t="s">
        <v>22</v>
      </c>
      <c r="C38" s="83" t="s">
        <v>27</v>
      </c>
      <c r="D38" s="72">
        <f>IF(C38="כן",7%,0)</f>
        <v>0</v>
      </c>
      <c r="O38" s="1"/>
      <c r="P38" s="40"/>
    </row>
    <row r="39" spans="2:16" ht="14.25" customHeight="1" x14ac:dyDescent="0.2">
      <c r="B39" s="47" t="s">
        <v>23</v>
      </c>
      <c r="C39" s="83" t="s">
        <v>27</v>
      </c>
      <c r="D39" s="72">
        <f>IF(C39="כן",7%,0)</f>
        <v>0</v>
      </c>
      <c r="O39" s="40"/>
      <c r="P39" s="40"/>
    </row>
    <row r="40" spans="2:16" ht="14.25" customHeight="1" x14ac:dyDescent="0.2">
      <c r="B40" s="73" t="s">
        <v>58</v>
      </c>
      <c r="C40" s="77"/>
      <c r="D40" s="72">
        <f>1+D37+D38+D39</f>
        <v>1</v>
      </c>
    </row>
    <row r="41" spans="2:16" ht="14.25" customHeight="1" x14ac:dyDescent="0.2">
      <c r="B41" s="47" t="s">
        <v>24</v>
      </c>
      <c r="C41" s="45">
        <v>1.004</v>
      </c>
      <c r="D41" s="79"/>
    </row>
    <row r="42" spans="2:16" ht="14.25" customHeight="1" x14ac:dyDescent="0.2">
      <c r="B42" s="47" t="s">
        <v>36</v>
      </c>
      <c r="C42" s="8">
        <v>0.17</v>
      </c>
      <c r="D42" s="79"/>
    </row>
  </sheetData>
  <sheetProtection sheet="1" objects="1" scenarios="1" selectLockedCells="1"/>
  <dataValidations count="5">
    <dataValidation type="list" allowBlank="1" showInputMessage="1" showErrorMessage="1" sqref="C32:C35 C37:C40">
      <formula1>$D$25:$D$26</formula1>
    </dataValidation>
    <dataValidation type="whole" allowBlank="1" showInputMessage="1" showErrorMessage="1" sqref="C29">
      <formula1>0</formula1>
      <formula2>3</formula2>
    </dataValidation>
    <dataValidation type="whole" operator="lessThan" allowBlank="1" showInputMessage="1" showErrorMessage="1" sqref="C25">
      <formula1>10</formula1>
    </dataValidation>
    <dataValidation type="whole" allowBlank="1" showInputMessage="1" showErrorMessage="1" sqref="C30 C28">
      <formula1>0</formula1>
      <formula2>4</formula2>
    </dataValidation>
    <dataValidation type="list" allowBlank="1" showInputMessage="1" showErrorMessage="1" sqref="C27">
      <formula1>$A$11:$A$12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רשימות!$A$2:$A$5</xm:f>
          </x14:formula1>
          <xm:sqref>C3</xm:sqref>
        </x14:dataValidation>
        <x14:dataValidation type="list" allowBlank="1" showInputMessage="1" showErrorMessage="1">
          <x14:formula1>
            <xm:f>רשימות!$A$7:$A$8</xm:f>
          </x14:formula1>
          <xm:sqref>C26</xm:sqref>
        </x14:dataValidation>
        <x14:dataValidation type="list" allowBlank="1" showInputMessage="1" showErrorMessage="1">
          <x14:formula1>
            <xm:f>רשימות!$A$11:$A$13</xm:f>
          </x14:formula1>
          <xm:sqref>C36</xm:sqref>
        </x14:dataValidation>
        <x14:dataValidation type="list" allowBlank="1" showInputMessage="1" showErrorMessage="1">
          <x14:formula1>
            <xm:f>רשימות!$A$16:$A$17</xm:f>
          </x14:formula1>
          <xm:sqref>C5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4"/>
  <sheetViews>
    <sheetView rightToLeft="1" workbookViewId="0">
      <selection activeCell="D9" sqref="D9"/>
    </sheetView>
  </sheetViews>
  <sheetFormatPr defaultRowHeight="14.25" x14ac:dyDescent="0.2"/>
  <cols>
    <col min="1" max="1" width="19.375" customWidth="1"/>
  </cols>
  <sheetData>
    <row r="1" spans="1:1" ht="15" x14ac:dyDescent="0.25">
      <c r="A1" s="64" t="s">
        <v>40</v>
      </c>
    </row>
    <row r="2" spans="1:1" x14ac:dyDescent="0.2">
      <c r="A2" s="2" t="s">
        <v>41</v>
      </c>
    </row>
    <row r="3" spans="1:1" x14ac:dyDescent="0.2">
      <c r="A3" s="2" t="s">
        <v>42</v>
      </c>
    </row>
    <row r="4" spans="1:1" x14ac:dyDescent="0.2">
      <c r="A4" s="2" t="s">
        <v>50</v>
      </c>
    </row>
    <row r="5" spans="1:1" x14ac:dyDescent="0.2">
      <c r="A5" s="2" t="s">
        <v>89</v>
      </c>
    </row>
    <row r="6" spans="1:1" ht="15" x14ac:dyDescent="0.25">
      <c r="A6" s="64" t="s">
        <v>69</v>
      </c>
    </row>
    <row r="7" spans="1:1" x14ac:dyDescent="0.2">
      <c r="A7" s="2" t="s">
        <v>26</v>
      </c>
    </row>
    <row r="8" spans="1:1" x14ac:dyDescent="0.2">
      <c r="A8" s="2" t="s">
        <v>27</v>
      </c>
    </row>
    <row r="9" spans="1:1" x14ac:dyDescent="0.2">
      <c r="A9" s="2"/>
    </row>
    <row r="10" spans="1:1" ht="15" x14ac:dyDescent="0.25">
      <c r="A10" s="64" t="s">
        <v>83</v>
      </c>
    </row>
    <row r="11" spans="1:1" x14ac:dyDescent="0.2">
      <c r="A11" s="2" t="s">
        <v>71</v>
      </c>
    </row>
    <row r="12" spans="1:1" x14ac:dyDescent="0.2">
      <c r="A12" s="2" t="s">
        <v>72</v>
      </c>
    </row>
    <row r="13" spans="1:1" x14ac:dyDescent="0.2">
      <c r="A13" s="2" t="s">
        <v>73</v>
      </c>
    </row>
    <row r="14" spans="1:1" x14ac:dyDescent="0.2">
      <c r="A14" s="2"/>
    </row>
    <row r="15" spans="1:1" ht="15" x14ac:dyDescent="0.25">
      <c r="A15" s="64" t="s">
        <v>84</v>
      </c>
    </row>
    <row r="16" spans="1:1" x14ac:dyDescent="0.2">
      <c r="A16" s="65" t="s">
        <v>78</v>
      </c>
    </row>
    <row r="17" spans="1:2" x14ac:dyDescent="0.2">
      <c r="A17" s="65" t="s">
        <v>79</v>
      </c>
    </row>
    <row r="18" spans="1:2" x14ac:dyDescent="0.2">
      <c r="A18" s="65"/>
    </row>
    <row r="19" spans="1:2" x14ac:dyDescent="0.2">
      <c r="A19" s="2" t="s">
        <v>87</v>
      </c>
    </row>
    <row r="20" spans="1:2" x14ac:dyDescent="0.2">
      <c r="A20">
        <v>1</v>
      </c>
    </row>
    <row r="21" spans="1:2" x14ac:dyDescent="0.2">
      <c r="A21" s="63">
        <v>500</v>
      </c>
      <c r="B21" s="67">
        <v>46.04</v>
      </c>
    </row>
    <row r="22" spans="1:2" x14ac:dyDescent="0.2">
      <c r="A22" s="63">
        <v>1000</v>
      </c>
      <c r="B22" s="67">
        <v>40.1</v>
      </c>
    </row>
    <row r="23" spans="1:2" x14ac:dyDescent="0.2">
      <c r="A23" s="63">
        <v>1500</v>
      </c>
      <c r="B23" s="67">
        <v>36.47</v>
      </c>
    </row>
    <row r="24" spans="1:2" x14ac:dyDescent="0.2">
      <c r="A24" s="63">
        <v>2000</v>
      </c>
      <c r="B24" s="67">
        <v>34.159999999999997</v>
      </c>
    </row>
    <row r="25" spans="1:2" x14ac:dyDescent="0.2">
      <c r="A25" s="63">
        <v>2500</v>
      </c>
      <c r="B25" s="2">
        <v>31.85</v>
      </c>
    </row>
    <row r="26" spans="1:2" x14ac:dyDescent="0.2">
      <c r="A26" s="63">
        <v>3000</v>
      </c>
      <c r="B26" s="2">
        <v>30.53</v>
      </c>
    </row>
    <row r="27" spans="1:2" x14ac:dyDescent="0.2">
      <c r="A27" s="63" t="s">
        <v>88</v>
      </c>
    </row>
    <row r="28" spans="1:2" x14ac:dyDescent="0.2">
      <c r="A28" s="66">
        <v>1</v>
      </c>
    </row>
    <row r="29" spans="1:2" x14ac:dyDescent="0.2">
      <c r="A29" s="63">
        <v>1500</v>
      </c>
      <c r="B29" s="67">
        <v>26.07</v>
      </c>
    </row>
    <row r="30" spans="1:2" x14ac:dyDescent="0.2">
      <c r="A30" s="63">
        <v>2500</v>
      </c>
      <c r="B30" s="67">
        <v>23.93</v>
      </c>
    </row>
    <row r="31" spans="1:2" x14ac:dyDescent="0.2">
      <c r="A31" s="63">
        <v>4000</v>
      </c>
      <c r="B31" s="67">
        <v>22.44</v>
      </c>
    </row>
    <row r="32" spans="1:2" x14ac:dyDescent="0.2">
      <c r="A32" s="63">
        <v>6000</v>
      </c>
      <c r="B32" s="67">
        <v>20.96</v>
      </c>
    </row>
    <row r="33" spans="1:2" x14ac:dyDescent="0.2">
      <c r="A33" s="63">
        <v>10000</v>
      </c>
      <c r="B33" s="2">
        <v>19.309999999999999</v>
      </c>
    </row>
    <row r="34" spans="1:2" x14ac:dyDescent="0.2">
      <c r="A34" s="63">
        <v>12000</v>
      </c>
      <c r="B34" s="2">
        <v>18.54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2</vt:i4>
      </vt:variant>
    </vt:vector>
  </HeadingPairs>
  <TitlesOfParts>
    <vt:vector size="2" baseType="lpstr">
      <vt:lpstr>חישוב תעריף</vt:lpstr>
      <vt:lpstr>רשימות</vt:lpstr>
    </vt:vector>
  </TitlesOfParts>
  <Company>משרד השיכון ובינוי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MosheCz</dc:creator>
  <cp:lastModifiedBy>GuriN</cp:lastModifiedBy>
  <dcterms:created xsi:type="dcterms:W3CDTF">2016-09-22T12:33:14Z</dcterms:created>
  <dcterms:modified xsi:type="dcterms:W3CDTF">2019-10-30T12:38:26Z</dcterms:modified>
</cp:coreProperties>
</file>